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aliela.Wright\Desktop\"/>
    </mc:Choice>
  </mc:AlternateContent>
  <bookViews>
    <workbookView xWindow="0" yWindow="0" windowWidth="25200" windowHeight="11985" activeTab="2"/>
  </bookViews>
  <sheets>
    <sheet name="Budget" sheetId="1" r:id="rId1"/>
    <sheet name="Profit-Loss" sheetId="2" r:id="rId2"/>
    <sheet name="Analysis" sheetId="3" r:id="rId3"/>
    <sheet name="Spokane Profit"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E32" i="1"/>
  <c r="D32" i="1"/>
  <c r="C32" i="1"/>
  <c r="B8" i="2" l="1"/>
  <c r="D27" i="1"/>
  <c r="C27" i="1"/>
  <c r="B6" i="4" l="1"/>
  <c r="E6" i="4" s="1"/>
  <c r="F5" i="4"/>
  <c r="E5" i="4"/>
  <c r="F6" i="4" l="1"/>
  <c r="B7" i="4"/>
  <c r="F7" i="4" s="1"/>
  <c r="B10" i="3"/>
  <c r="E7" i="4" l="1"/>
  <c r="E8" i="4" s="1"/>
  <c r="F8" i="4"/>
  <c r="B28" i="4" l="1"/>
  <c r="C28" i="4"/>
  <c r="B18" i="2"/>
  <c r="C9" i="2"/>
  <c r="B9" i="2"/>
  <c r="C8" i="2"/>
  <c r="F31" i="1"/>
  <c r="F34" i="1" s="1"/>
  <c r="E27" i="1"/>
  <c r="E31" i="1" s="1"/>
  <c r="E34" i="1" s="1"/>
  <c r="F27" i="1"/>
  <c r="E28" i="1"/>
  <c r="F28" i="1"/>
  <c r="E29" i="1"/>
  <c r="F29" i="1"/>
  <c r="F26" i="1"/>
  <c r="E26" i="1"/>
  <c r="D26" i="1"/>
  <c r="C26" i="1"/>
  <c r="F23" i="1"/>
  <c r="E23" i="1"/>
  <c r="D20" i="1"/>
  <c r="C20" i="1"/>
  <c r="E20" i="1" s="1"/>
  <c r="D19" i="1"/>
  <c r="C19" i="1"/>
  <c r="E19" i="1" s="1"/>
  <c r="E17" i="1"/>
  <c r="F17" i="1"/>
  <c r="E18" i="1"/>
  <c r="F18" i="1"/>
  <c r="F19" i="1"/>
  <c r="F20" i="1"/>
  <c r="E21" i="1"/>
  <c r="F21" i="1"/>
  <c r="F16" i="1"/>
  <c r="E16" i="1"/>
  <c r="B16" i="1"/>
  <c r="F8" i="1"/>
  <c r="E8" i="1"/>
  <c r="F6" i="1"/>
  <c r="F7" i="1"/>
  <c r="F5" i="1"/>
  <c r="E6" i="1"/>
  <c r="E7" i="1"/>
  <c r="E5" i="1"/>
  <c r="B7" i="1"/>
  <c r="B6" i="1"/>
  <c r="C4" i="2" l="1"/>
  <c r="D16" i="4"/>
  <c r="D17" i="4" s="1"/>
  <c r="C41" i="3"/>
  <c r="E4" i="2"/>
  <c r="D4" i="2"/>
  <c r="C16" i="4"/>
  <c r="C17" i="4" s="1"/>
  <c r="B41" i="3"/>
  <c r="B17" i="2"/>
  <c r="B38" i="4" s="1"/>
  <c r="B39" i="4" s="1"/>
  <c r="B16" i="2"/>
  <c r="C11" i="2"/>
  <c r="C49" i="3" s="1"/>
  <c r="B11" i="2"/>
  <c r="B49" i="3" s="1"/>
  <c r="B4" i="2"/>
  <c r="C76" i="3" l="1"/>
  <c r="C42" i="3"/>
  <c r="C44" i="3" s="1"/>
  <c r="C29" i="4"/>
  <c r="C24" i="4"/>
  <c r="B33" i="4" s="1"/>
  <c r="B34" i="4" s="1"/>
  <c r="E24" i="4"/>
  <c r="B42" i="3"/>
  <c r="B44" i="3" s="1"/>
  <c r="B76" i="3"/>
  <c r="B29" i="4"/>
  <c r="B24" i="4"/>
  <c r="D24" i="4"/>
  <c r="B94" i="3" l="1"/>
  <c r="B96" i="3" s="1"/>
  <c r="B48" i="3"/>
  <c r="B72" i="3"/>
  <c r="C94" i="3"/>
  <c r="C96" i="3" s="1"/>
  <c r="C72" i="3"/>
  <c r="C48" i="3"/>
  <c r="B73" i="3" l="1"/>
  <c r="B74" i="3" s="1"/>
  <c r="B93" i="3"/>
  <c r="C73" i="3"/>
  <c r="C93" i="3"/>
  <c r="C74" i="3" l="1"/>
  <c r="C77" i="3" s="1"/>
  <c r="C75" i="3"/>
  <c r="B75" i="3"/>
  <c r="B77" i="3"/>
</calcChain>
</file>

<file path=xl/sharedStrings.xml><?xml version="1.0" encoding="utf-8"?>
<sst xmlns="http://schemas.openxmlformats.org/spreadsheetml/2006/main" count="149" uniqueCount="91">
  <si>
    <t>What is the total income for SFCC Pullman?</t>
  </si>
  <si>
    <t>Incomes</t>
  </si>
  <si>
    <t>Description</t>
  </si>
  <si>
    <t>Low</t>
  </si>
  <si>
    <t>High</t>
  </si>
  <si>
    <t>Range</t>
  </si>
  <si>
    <t>Total Range</t>
  </si>
  <si>
    <t>Quantity</t>
  </si>
  <si>
    <t>Full Time Equivalent Students</t>
  </si>
  <si>
    <t>International Students</t>
  </si>
  <si>
    <t>Domestic Students Tuition</t>
  </si>
  <si>
    <t>Domestic Students State Funds</t>
  </si>
  <si>
    <t>Instructional Budget:</t>
  </si>
  <si>
    <t>What is the size of the Instructional Budget?</t>
  </si>
  <si>
    <t>What is the size of the Student Services Budget?</t>
  </si>
  <si>
    <t>Expenses</t>
  </si>
  <si>
    <t>13 Adjunct Instructors: $3500 per course for 20 classes per quarter (no summer classes.)</t>
  </si>
  <si>
    <t>Benefits Status Adjuncts (teaching 5 or more courses per year.)</t>
  </si>
  <si>
    <t>Associate Status Instructors</t>
  </si>
  <si>
    <t>Annualized Faculty: about $50,000 per year, plus benefits.</t>
  </si>
  <si>
    <t>Administrative Assistant: $30,000 to $38,000 plus benefits.</t>
  </si>
  <si>
    <t>Stipends</t>
  </si>
  <si>
    <t>N/A</t>
  </si>
  <si>
    <t>Travel, goods and services, etc.</t>
  </si>
  <si>
    <t>Counselor $83,000 (includes benefits, etc.)</t>
  </si>
  <si>
    <t>Hourly Worker</t>
  </si>
  <si>
    <t>Work First Manager</t>
  </si>
  <si>
    <t>Campus Manager: $49,000 to $55,000 plus benefits.</t>
  </si>
  <si>
    <t>Building Lease (Includes janitorial contracts, electricity, etc.)</t>
  </si>
  <si>
    <t>Overhead (Goes to Spokane to pay for library services, President Gullickson’s salary, ect.)</t>
  </si>
  <si>
    <t>What are SFCC Pullman's Total Expenses?</t>
  </si>
  <si>
    <r>
      <t> </t>
    </r>
    <r>
      <rPr>
        <b/>
        <u/>
        <sz val="11"/>
        <color theme="1"/>
        <rFont val="Calibri"/>
        <family val="2"/>
        <scheme val="minor"/>
      </rPr>
      <t>Student Services Budget:</t>
    </r>
  </si>
  <si>
    <t>Profit/Loss Statement</t>
  </si>
  <si>
    <t>What are the four possible combinations of profit and/or loss?</t>
  </si>
  <si>
    <t>Low Revenue</t>
  </si>
  <si>
    <t>High Revenue</t>
  </si>
  <si>
    <t>Marginal Revenue for Domestic Students</t>
  </si>
  <si>
    <t>Marginal Revenue for International Students</t>
  </si>
  <si>
    <t>Average Cost per Student</t>
  </si>
  <si>
    <t>Average Revenue per Student</t>
  </si>
  <si>
    <t>Calculate the following:</t>
  </si>
  <si>
    <t>Consider the Worst Case Scenario:</t>
  </si>
  <si>
    <t>If SFCC Pullman continues to operate what is the profit/loss?</t>
  </si>
  <si>
    <t>If SFCC Pullman shuts-down what is the profit/loss?</t>
  </si>
  <si>
    <t>What is SFCC Pullman's Profit/Loss per student?</t>
  </si>
  <si>
    <t>Should SFCC Pullman continue to operate or shutdown?</t>
  </si>
  <si>
    <t>SFCC TOTAL Expenses</t>
  </si>
  <si>
    <t>Less: Pullman Expenses</t>
  </si>
  <si>
    <t>Spokane only Expenses</t>
  </si>
  <si>
    <t>Number of FTE in Spokane</t>
  </si>
  <si>
    <t>Pullman Expenses</t>
  </si>
  <si>
    <t>Analysis</t>
  </si>
  <si>
    <t>Low Expenses</t>
  </si>
  <si>
    <t>High Expenses</t>
  </si>
  <si>
    <t>Current FTE in Pullman</t>
  </si>
  <si>
    <t>Average Cost per Spokane FTE</t>
  </si>
  <si>
    <t>Average Cost per Pullman FTE</t>
  </si>
  <si>
    <t>Amount of money to be cut</t>
  </si>
  <si>
    <t>Pullman's percentage</t>
  </si>
  <si>
    <t>Amount of money needed to cover the cut:</t>
  </si>
  <si>
    <t>Across the Board Cuts</t>
  </si>
  <si>
    <t>You have two options to come up with this money, make cuts to the existing budget, increase your revenue, or some combination of the two.  If you were the Pullman Campus Manager, what would you do?</t>
  </si>
  <si>
    <t>Cut Under-Preforming Programs</t>
  </si>
  <si>
    <t>Average Cost per FTE</t>
  </si>
  <si>
    <t>Create a chart showing the difference in cost per FTE between Spokane and Pullman.</t>
  </si>
  <si>
    <t>By how much would Pullman need to cut it's budget to be just as cost effective as Spokane?</t>
  </si>
  <si>
    <t>Total FTE's in Pullman</t>
  </si>
  <si>
    <t>Cost per FTE, Spokane</t>
  </si>
  <si>
    <t>Actual Size of Pullman Expenses</t>
  </si>
  <si>
    <t>Amount of Cut:</t>
  </si>
  <si>
    <t>FTE's needed to be as cost effective as Spokane</t>
  </si>
  <si>
    <t>Number of additional FTE's needed at current level of expenses:</t>
  </si>
  <si>
    <t>As the Campus Manager, do you believe the Pullman Campus is able to meet the new FTE goal?</t>
  </si>
  <si>
    <t>Additional 10% "across the board" cut (10% of number above above)</t>
  </si>
  <si>
    <t>New allowable Expenses</t>
  </si>
  <si>
    <t>Reduced size of Pullman Expenses</t>
  </si>
  <si>
    <t>As the Campus Manager, do you believe the Pullman Campus sustainable at this budget?</t>
  </si>
  <si>
    <t>Spokane Falls is facing a $2 million dollar budget shortfall for the coming academic year.  The Pullman budget currently accounts for 4% of the total expenditures in the SFCC budget.  If the administration decides to make across the board cuts, what is Pullman's share?</t>
  </si>
  <si>
    <t>Spokane Falls is facing a $2 million dollar budget shortfall for the coming academic year.  The Pullman budget currently accounts for 4% of the total expenditures in the SFCC budget.  The administration may decide that Pullman must preform at the same level Spokane does.</t>
  </si>
  <si>
    <t xml:space="preserve">Alternatively, you could increase the number of FTE's given the existing level of expenditures.  </t>
  </si>
  <si>
    <t>SFCC Total Expense</t>
  </si>
  <si>
    <t>Less:  Pullman expenses at ~4% of Budget</t>
  </si>
  <si>
    <t xml:space="preserve">SFCC Spokane Expenses </t>
  </si>
  <si>
    <t>What is the total income for SFCC Spokane?</t>
  </si>
  <si>
    <t>What is SFCC Spokanes Profit/Loss per student?</t>
  </si>
  <si>
    <t>SFCC Spokane's Worst case profit:</t>
  </si>
  <si>
    <t>Average Revenue per FTE, Spokane</t>
  </si>
  <si>
    <t>Average Cost per FTE, Spokane</t>
  </si>
  <si>
    <t>Consider the Worst Case Scenario, Spokane:</t>
  </si>
  <si>
    <t>Consider the Worst Case Scenario, Pullman:</t>
  </si>
  <si>
    <t>SFCC Pullman's Worst Case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</si>
</sst>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sz val="24"/>
      <color rgb="FF00B050"/>
      <name val="Calibri"/>
      <family val="2"/>
      <scheme val="minor"/>
    </font>
    <font>
      <b/>
      <sz val="24"/>
      <color rgb="FFFF0000"/>
      <name val="Calibri"/>
      <family val="2"/>
      <scheme val="minor"/>
    </font>
    <font>
      <sz val="12"/>
      <color theme="1"/>
      <name val="Calibri"/>
      <family val="2"/>
      <scheme val="minor"/>
    </font>
    <font>
      <sz val="14"/>
      <color theme="1"/>
      <name val="Calibri"/>
      <family val="2"/>
      <scheme val="minor"/>
    </font>
    <font>
      <b/>
      <sz val="24"/>
      <color theme="4"/>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horizontal="center"/>
    </xf>
    <xf numFmtId="44" fontId="0" fillId="0" borderId="0" xfId="1" applyFont="1" applyAlignment="1">
      <alignment horizontal="center"/>
    </xf>
    <xf numFmtId="44" fontId="0" fillId="0" borderId="0" xfId="1" applyFont="1" applyAlignment="1">
      <alignment horizontal="center"/>
    </xf>
    <xf numFmtId="0" fontId="0" fillId="0" borderId="1" xfId="0" applyBorder="1"/>
    <xf numFmtId="0" fontId="0" fillId="0" borderId="1" xfId="0" applyBorder="1" applyAlignment="1">
      <alignment horizontal="center"/>
    </xf>
    <xf numFmtId="44" fontId="0" fillId="0" borderId="1" xfId="1" applyFont="1" applyBorder="1" applyAlignment="1">
      <alignment horizontal="center"/>
    </xf>
    <xf numFmtId="0" fontId="3" fillId="0" borderId="1" xfId="0" applyFont="1" applyBorder="1" applyAlignment="1">
      <alignment horizontal="center"/>
    </xf>
    <xf numFmtId="0" fontId="4" fillId="0" borderId="2" xfId="0" applyFont="1" applyBorder="1"/>
    <xf numFmtId="44" fontId="0" fillId="0" borderId="2" xfId="1" applyFont="1" applyBorder="1" applyAlignment="1">
      <alignment horizontal="center"/>
    </xf>
    <xf numFmtId="0" fontId="0" fillId="0" borderId="0" xfId="0" applyAlignment="1">
      <alignment wrapText="1"/>
    </xf>
    <xf numFmtId="0" fontId="5" fillId="0" borderId="3" xfId="0" applyFont="1" applyBorder="1"/>
    <xf numFmtId="44" fontId="0" fillId="0" borderId="3" xfId="1" applyFont="1" applyBorder="1" applyAlignment="1">
      <alignment horizontal="center"/>
    </xf>
    <xf numFmtId="0" fontId="0" fillId="2" borderId="2" xfId="0" applyFill="1" applyBorder="1" applyAlignment="1">
      <alignment horizontal="center"/>
    </xf>
    <xf numFmtId="44" fontId="0" fillId="2" borderId="2" xfId="1" applyFont="1" applyFill="1" applyBorder="1" applyAlignment="1">
      <alignment horizontal="center"/>
    </xf>
    <xf numFmtId="0" fontId="0" fillId="2" borderId="3" xfId="0" applyFill="1" applyBorder="1" applyAlignment="1">
      <alignment horizontal="center"/>
    </xf>
    <xf numFmtId="44" fontId="0" fillId="2" borderId="3" xfId="1" applyFont="1" applyFill="1" applyBorder="1" applyAlignment="1">
      <alignment horizontal="center"/>
    </xf>
    <xf numFmtId="0" fontId="4" fillId="2" borderId="2" xfId="0" applyFont="1" applyFill="1" applyBorder="1" applyAlignment="1">
      <alignment horizontal="center"/>
    </xf>
    <xf numFmtId="0" fontId="6" fillId="3" borderId="4" xfId="0" applyFont="1" applyFill="1" applyBorder="1"/>
    <xf numFmtId="0" fontId="2" fillId="3" borderId="5" xfId="0" applyFont="1" applyFill="1" applyBorder="1"/>
    <xf numFmtId="0" fontId="0" fillId="2" borderId="5" xfId="0" applyFill="1" applyBorder="1" applyAlignment="1">
      <alignment horizontal="center"/>
    </xf>
    <xf numFmtId="44" fontId="0" fillId="2" borderId="5" xfId="1" applyFont="1" applyFill="1" applyBorder="1" applyAlignment="1">
      <alignment horizontal="center"/>
    </xf>
    <xf numFmtId="0" fontId="2" fillId="2" borderId="4" xfId="0" applyFont="1" applyFill="1" applyBorder="1" applyAlignment="1">
      <alignment horizontal="center"/>
    </xf>
    <xf numFmtId="44" fontId="2" fillId="2" borderId="4" xfId="1" applyFont="1" applyFill="1" applyBorder="1" applyAlignment="1">
      <alignment horizontal="center"/>
    </xf>
    <xf numFmtId="0" fontId="7" fillId="0" borderId="1" xfId="0" applyFont="1" applyBorder="1"/>
    <xf numFmtId="0" fontId="8" fillId="0" borderId="1" xfId="0" applyFont="1" applyBorder="1"/>
    <xf numFmtId="44" fontId="0" fillId="0" borderId="0" xfId="1" applyFont="1" applyAlignment="1">
      <alignment horizontal="center"/>
    </xf>
    <xf numFmtId="0" fontId="3" fillId="0" borderId="0" xfId="0" applyFont="1"/>
    <xf numFmtId="0" fontId="4" fillId="0" borderId="1" xfId="0" applyFont="1" applyBorder="1"/>
    <xf numFmtId="0" fontId="0" fillId="0" borderId="8" xfId="0" applyBorder="1" applyAlignment="1">
      <alignment horizontal="center"/>
    </xf>
    <xf numFmtId="44" fontId="0" fillId="0" borderId="9" xfId="0" applyNumberFormat="1" applyBorder="1" applyAlignment="1">
      <alignment horizontal="center"/>
    </xf>
    <xf numFmtId="0" fontId="0" fillId="0" borderId="11" xfId="0" applyBorder="1" applyAlignment="1">
      <alignment horizontal="center"/>
    </xf>
    <xf numFmtId="44" fontId="0" fillId="0" borderId="12" xfId="0" applyNumberFormat="1" applyBorder="1" applyAlignment="1">
      <alignment horizontal="center"/>
    </xf>
    <xf numFmtId="0" fontId="0" fillId="0" borderId="10" xfId="0" applyBorder="1"/>
    <xf numFmtId="0" fontId="0" fillId="0" borderId="11" xfId="0" applyBorder="1" applyAlignment="1">
      <alignment horizontal="right"/>
    </xf>
    <xf numFmtId="0" fontId="4" fillId="0" borderId="12" xfId="0" applyFont="1" applyBorder="1"/>
    <xf numFmtId="0" fontId="0" fillId="0" borderId="3" xfId="0" applyBorder="1"/>
    <xf numFmtId="8" fontId="0" fillId="0" borderId="3" xfId="1" applyNumberFormat="1" applyFont="1" applyBorder="1" applyAlignment="1">
      <alignment horizontal="center"/>
    </xf>
    <xf numFmtId="0" fontId="0" fillId="0" borderId="0" xfId="0" applyFill="1" applyBorder="1"/>
    <xf numFmtId="0" fontId="0" fillId="0" borderId="4" xfId="0" applyBorder="1"/>
    <xf numFmtId="44" fontId="0" fillId="0" borderId="4" xfId="1" applyFont="1" applyBorder="1" applyAlignment="1">
      <alignment horizontal="center"/>
    </xf>
    <xf numFmtId="44" fontId="0" fillId="0" borderId="0" xfId="1" applyFont="1" applyBorder="1" applyAlignment="1">
      <alignment horizontal="center"/>
    </xf>
    <xf numFmtId="0" fontId="0" fillId="0" borderId="0" xfId="0" applyFont="1" applyBorder="1"/>
    <xf numFmtId="44" fontId="0" fillId="0" borderId="0" xfId="1" applyFont="1" applyAlignment="1">
      <alignment horizontal="center"/>
    </xf>
    <xf numFmtId="43" fontId="0" fillId="0" borderId="0" xfId="2" applyFont="1" applyAlignment="1">
      <alignment horizontal="center"/>
    </xf>
    <xf numFmtId="1" fontId="0" fillId="0" borderId="0" xfId="1" applyNumberFormat="1" applyFont="1" applyAlignment="1">
      <alignment horizontal="center"/>
    </xf>
    <xf numFmtId="0" fontId="0" fillId="0" borderId="2" xfId="0" applyBorder="1"/>
    <xf numFmtId="1" fontId="0" fillId="0" borderId="1" xfId="1" applyNumberFormat="1" applyFont="1" applyBorder="1" applyAlignment="1">
      <alignment horizontal="center"/>
    </xf>
    <xf numFmtId="0" fontId="3" fillId="0" borderId="1" xfId="0" applyFont="1" applyBorder="1"/>
    <xf numFmtId="9" fontId="0" fillId="0" borderId="1" xfId="3" applyFont="1" applyBorder="1" applyAlignment="1">
      <alignment horizontal="right"/>
    </xf>
    <xf numFmtId="44" fontId="10" fillId="0" borderId="1" xfId="1" applyFont="1" applyBorder="1" applyAlignment="1">
      <alignment horizontal="center"/>
    </xf>
    <xf numFmtId="0" fontId="10" fillId="0" borderId="1" xfId="0" applyFont="1" applyBorder="1" applyAlignment="1">
      <alignment horizontal="center"/>
    </xf>
    <xf numFmtId="0" fontId="5" fillId="0" borderId="0" xfId="0" applyFont="1"/>
    <xf numFmtId="44" fontId="0" fillId="0" borderId="1" xfId="1" applyFont="1" applyBorder="1"/>
    <xf numFmtId="44" fontId="0" fillId="0" borderId="0" xfId="1" applyFont="1"/>
    <xf numFmtId="44" fontId="0" fillId="0" borderId="1" xfId="0" applyNumberFormat="1" applyBorder="1"/>
    <xf numFmtId="44" fontId="0" fillId="0" borderId="2" xfId="0" applyNumberFormat="1" applyBorder="1"/>
    <xf numFmtId="0" fontId="0" fillId="0" borderId="2" xfId="0" applyFont="1" applyBorder="1"/>
    <xf numFmtId="0" fontId="0" fillId="0" borderId="2" xfId="0" applyFill="1" applyBorder="1"/>
    <xf numFmtId="1" fontId="0" fillId="0" borderId="2" xfId="1" applyNumberFormat="1" applyFont="1" applyBorder="1" applyAlignment="1">
      <alignment horizontal="center"/>
    </xf>
    <xf numFmtId="0" fontId="2" fillId="0" borderId="4" xfId="0" applyFont="1" applyBorder="1"/>
    <xf numFmtId="44" fontId="2" fillId="0" borderId="4" xfId="1" applyFont="1" applyBorder="1"/>
    <xf numFmtId="44" fontId="0" fillId="0" borderId="0" xfId="1" applyFont="1" applyAlignment="1">
      <alignment horizontal="center"/>
    </xf>
    <xf numFmtId="0" fontId="0" fillId="0" borderId="0" xfId="0" applyBorder="1"/>
    <xf numFmtId="0" fontId="0" fillId="0" borderId="0" xfId="0" applyBorder="1" applyAlignment="1">
      <alignment horizontal="center"/>
    </xf>
    <xf numFmtId="44" fontId="0" fillId="0" borderId="0" xfId="1" applyFont="1" applyFill="1" applyBorder="1" applyAlignment="1">
      <alignment horizontal="center"/>
    </xf>
    <xf numFmtId="43" fontId="0" fillId="0" borderId="0" xfId="2" applyFont="1" applyFill="1" applyBorder="1" applyAlignment="1">
      <alignment horizontal="center"/>
    </xf>
    <xf numFmtId="0" fontId="0" fillId="0" borderId="2" xfId="0" applyFill="1" applyBorder="1" applyAlignment="1">
      <alignment horizontal="center"/>
    </xf>
    <xf numFmtId="0" fontId="4" fillId="0" borderId="2" xfId="0" applyFont="1" applyBorder="1" applyAlignment="1">
      <alignment wrapText="1"/>
    </xf>
    <xf numFmtId="0" fontId="0" fillId="0" borderId="3" xfId="0" applyFont="1" applyBorder="1"/>
    <xf numFmtId="0" fontId="11" fillId="0" borderId="0" xfId="0" applyFont="1"/>
    <xf numFmtId="44" fontId="0" fillId="0" borderId="0" xfId="1" applyFont="1" applyAlignment="1">
      <alignment horizontal="center"/>
    </xf>
    <xf numFmtId="44" fontId="0" fillId="0" borderId="8" xfId="1" applyFont="1" applyBorder="1" applyAlignment="1">
      <alignment horizontal="center"/>
    </xf>
    <xf numFmtId="44" fontId="0" fillId="0" borderId="13" xfId="1" applyFont="1" applyBorder="1" applyAlignment="1">
      <alignment horizontal="center"/>
    </xf>
    <xf numFmtId="44" fontId="0" fillId="0" borderId="9" xfId="1" applyFont="1" applyBorder="1" applyAlignment="1">
      <alignment horizontal="center"/>
    </xf>
    <xf numFmtId="44" fontId="2" fillId="2" borderId="14" xfId="1" applyFont="1" applyFill="1" applyBorder="1" applyAlignment="1">
      <alignment horizontal="center"/>
    </xf>
    <xf numFmtId="44" fontId="0" fillId="0" borderId="15" xfId="1" applyFont="1" applyBorder="1" applyAlignment="1">
      <alignment horizontal="center"/>
    </xf>
    <xf numFmtId="44" fontId="0" fillId="0" borderId="7" xfId="1" applyFont="1" applyBorder="1" applyAlignment="1">
      <alignment horizontal="center"/>
    </xf>
    <xf numFmtId="44" fontId="0" fillId="0" borderId="0" xfId="1" applyFont="1" applyAlignment="1">
      <alignment horizontal="center"/>
    </xf>
    <xf numFmtId="44" fontId="0" fillId="0" borderId="7" xfId="1" applyFont="1" applyBorder="1" applyAlignment="1">
      <alignment horizontal="center"/>
    </xf>
    <xf numFmtId="44" fontId="0" fillId="0" borderId="6" xfId="1" applyFont="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9" fillId="0" borderId="0" xfId="0" applyFont="1" applyAlignment="1">
      <alignment horizontal="left" wrapText="1"/>
    </xf>
    <xf numFmtId="0" fontId="5" fillId="0" borderId="0" xfId="0" applyFont="1" applyAlignment="1">
      <alignment horizontal="left" wrapText="1"/>
    </xf>
    <xf numFmtId="44" fontId="0" fillId="0" borderId="0" xfId="1" applyFont="1" applyFill="1" applyBorder="1" applyAlignment="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Average Cost per FTE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Analysis!$A$48</c:f>
              <c:strCache>
                <c:ptCount val="1"/>
                <c:pt idx="0">
                  <c:v>Average Cost per Spokane FTE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Analysis!$B$47:$C$47</c:f>
              <c:strCache>
                <c:ptCount val="2"/>
                <c:pt idx="0">
                  <c:v>Low Expenses</c:v>
                </c:pt>
                <c:pt idx="1">
                  <c:v>High Expenses</c:v>
                </c:pt>
              </c:strCache>
            </c:strRef>
          </c:cat>
          <c:val>
            <c:numRef>
              <c:f>Analysis!$B$48:$C$48</c:f>
              <c:numCache>
                <c:formatCode>_("$"* #,##0.00_);_("$"* \(#,##0.00\);_("$"* "-"??_);_(@_)</c:formatCode>
                <c:ptCount val="2"/>
                <c:pt idx="0">
                  <c:v>5571.6049505882347</c:v>
                </c:pt>
                <c:pt idx="1">
                  <c:v>5762.0755388235293</c:v>
                </c:pt>
              </c:numCache>
            </c:numRef>
          </c:val>
        </c:ser>
        <c:ser>
          <c:idx val="1"/>
          <c:order val="1"/>
          <c:tx>
            <c:strRef>
              <c:f>Analysis!$A$49</c:f>
              <c:strCache>
                <c:ptCount val="1"/>
                <c:pt idx="0">
                  <c:v>Average Cost per Pullman FTE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Analysis!$B$47:$C$47</c:f>
              <c:strCache>
                <c:ptCount val="2"/>
                <c:pt idx="0">
                  <c:v>Low Expenses</c:v>
                </c:pt>
                <c:pt idx="1">
                  <c:v>High Expenses</c:v>
                </c:pt>
              </c:strCache>
            </c:strRef>
          </c:cat>
          <c:val>
            <c:numRef>
              <c:f>Analysis!$B$49:$C$49</c:f>
              <c:numCache>
                <c:formatCode>_("$"* #,##0.00_);_("$"* \(#,##0.00\);_("$"* "-"??_);_(@_)</c:formatCode>
                <c:ptCount val="2"/>
                <c:pt idx="0">
                  <c:v>7765.4316799999997</c:v>
                </c:pt>
                <c:pt idx="1">
                  <c:v>8089.4316799999997</c:v>
                </c:pt>
              </c:numCache>
            </c:numRef>
          </c:val>
        </c:ser>
        <c:dLbls>
          <c:dLblPos val="inEnd"/>
          <c:showLegendKey val="0"/>
          <c:showVal val="1"/>
          <c:showCatName val="0"/>
          <c:showSerName val="0"/>
          <c:showPercent val="0"/>
          <c:showBubbleSize val="0"/>
        </c:dLbls>
        <c:gapWidth val="65"/>
        <c:axId val="271108096"/>
        <c:axId val="140759080"/>
      </c:barChart>
      <c:catAx>
        <c:axId val="271108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0759080"/>
        <c:crosses val="autoZero"/>
        <c:auto val="1"/>
        <c:lblAlgn val="ctr"/>
        <c:lblOffset val="100"/>
        <c:noMultiLvlLbl val="0"/>
      </c:catAx>
      <c:valAx>
        <c:axId val="1407590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none"/>
        <c:minorTickMark val="none"/>
        <c:tickLblPos val="nextTo"/>
        <c:crossAx val="27110809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457200</xdr:colOff>
      <xdr:row>52</xdr:row>
      <xdr:rowOff>23812</xdr:rowOff>
    </xdr:from>
    <xdr:to>
      <xdr:col>2</xdr:col>
      <xdr:colOff>85725</xdr:colOff>
      <xdr:row>65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3" workbookViewId="0">
      <selection activeCell="E32" sqref="E32:F32"/>
    </sheetView>
  </sheetViews>
  <sheetFormatPr defaultRowHeight="15" x14ac:dyDescent="0.25"/>
  <cols>
    <col min="1" max="1" width="58.42578125" customWidth="1"/>
    <col min="2" max="2" width="9.140625" style="1" customWidth="1"/>
    <col min="3" max="4" width="12.5703125" style="2" bestFit="1" customWidth="1"/>
    <col min="5" max="6" width="14.28515625" style="2" bestFit="1" customWidth="1"/>
  </cols>
  <sheetData>
    <row r="1" spans="1:6" ht="31.5" x14ac:dyDescent="0.5">
      <c r="A1" s="24" t="s">
        <v>1</v>
      </c>
      <c r="B1" s="7"/>
      <c r="C1" s="6"/>
      <c r="D1" s="6"/>
      <c r="E1" s="6"/>
      <c r="F1" s="6"/>
    </row>
    <row r="2" spans="1:6" x14ac:dyDescent="0.25">
      <c r="C2" s="78" t="s">
        <v>5</v>
      </c>
      <c r="D2" s="78"/>
      <c r="E2" s="79" t="s">
        <v>6</v>
      </c>
      <c r="F2" s="80"/>
    </row>
    <row r="3" spans="1:6" x14ac:dyDescent="0.25">
      <c r="A3" s="4" t="s">
        <v>2</v>
      </c>
      <c r="B3" s="5" t="s">
        <v>7</v>
      </c>
      <c r="C3" s="6" t="s">
        <v>3</v>
      </c>
      <c r="D3" s="6" t="s">
        <v>4</v>
      </c>
      <c r="E3" s="72" t="s">
        <v>3</v>
      </c>
      <c r="F3" s="6" t="s">
        <v>4</v>
      </c>
    </row>
    <row r="4" spans="1:6" x14ac:dyDescent="0.25">
      <c r="A4" t="s">
        <v>8</v>
      </c>
      <c r="B4" s="1">
        <v>125</v>
      </c>
      <c r="E4" s="73"/>
      <c r="F4" s="41"/>
    </row>
    <row r="5" spans="1:6" x14ac:dyDescent="0.25">
      <c r="A5" t="s">
        <v>9</v>
      </c>
      <c r="B5" s="1">
        <v>35</v>
      </c>
      <c r="C5" s="2">
        <v>10000</v>
      </c>
      <c r="D5" s="2">
        <v>10000</v>
      </c>
      <c r="E5" s="73">
        <f>C5*B5</f>
        <v>350000</v>
      </c>
      <c r="F5" s="41">
        <f>D5*B5</f>
        <v>350000</v>
      </c>
    </row>
    <row r="6" spans="1:6" x14ac:dyDescent="0.25">
      <c r="A6" t="s">
        <v>10</v>
      </c>
      <c r="B6" s="1">
        <f>B4-B5</f>
        <v>90</v>
      </c>
      <c r="C6" s="2">
        <v>4000</v>
      </c>
      <c r="D6" s="2">
        <v>4000</v>
      </c>
      <c r="E6" s="73">
        <f t="shared" ref="E6:E7" si="0">C6*B6</f>
        <v>360000</v>
      </c>
      <c r="F6" s="41">
        <f t="shared" ref="F6:F7" si="1">D6*B6</f>
        <v>360000</v>
      </c>
    </row>
    <row r="7" spans="1:6" x14ac:dyDescent="0.25">
      <c r="A7" t="s">
        <v>11</v>
      </c>
      <c r="B7" s="1">
        <f>B6</f>
        <v>90</v>
      </c>
      <c r="C7" s="2">
        <v>3500</v>
      </c>
      <c r="D7" s="2">
        <v>4000</v>
      </c>
      <c r="E7" s="73">
        <f t="shared" si="0"/>
        <v>315000</v>
      </c>
      <c r="F7" s="41">
        <f t="shared" si="1"/>
        <v>360000</v>
      </c>
    </row>
    <row r="8" spans="1:6" ht="19.5" thickBot="1" x14ac:dyDescent="0.35">
      <c r="A8" s="8" t="s">
        <v>0</v>
      </c>
      <c r="B8" s="17"/>
      <c r="C8" s="14"/>
      <c r="D8" s="14"/>
      <c r="E8" s="74">
        <f>SUM(E5:E7)</f>
        <v>1025000</v>
      </c>
      <c r="F8" s="9">
        <f>SUM(F5:F7)</f>
        <v>1070000</v>
      </c>
    </row>
    <row r="9" spans="1:6" ht="15.75" thickTop="1" x14ac:dyDescent="0.25"/>
    <row r="12" spans="1:6" ht="31.5" x14ac:dyDescent="0.5">
      <c r="A12" s="25" t="s">
        <v>15</v>
      </c>
      <c r="B12" s="5"/>
      <c r="C12" s="6"/>
      <c r="D12" s="6"/>
      <c r="E12" s="6"/>
      <c r="F12" s="6"/>
    </row>
    <row r="13" spans="1:6" x14ac:dyDescent="0.25">
      <c r="C13" s="78" t="s">
        <v>5</v>
      </c>
      <c r="D13" s="78"/>
      <c r="E13" s="79" t="s">
        <v>5</v>
      </c>
      <c r="F13" s="80"/>
    </row>
    <row r="14" spans="1:6" x14ac:dyDescent="0.25">
      <c r="A14" s="4"/>
      <c r="B14" s="5" t="s">
        <v>7</v>
      </c>
      <c r="C14" s="6" t="s">
        <v>3</v>
      </c>
      <c r="D14" s="6" t="s">
        <v>4</v>
      </c>
      <c r="E14" s="72" t="s">
        <v>3</v>
      </c>
      <c r="F14" s="6" t="s">
        <v>4</v>
      </c>
    </row>
    <row r="15" spans="1:6" x14ac:dyDescent="0.25">
      <c r="A15" s="18" t="s">
        <v>12</v>
      </c>
      <c r="B15" s="22"/>
      <c r="C15" s="23"/>
      <c r="D15" s="23"/>
      <c r="E15" s="75"/>
      <c r="F15" s="23"/>
    </row>
    <row r="16" spans="1:6" ht="30" x14ac:dyDescent="0.25">
      <c r="A16" s="10" t="s">
        <v>16</v>
      </c>
      <c r="B16" s="1">
        <f>20*3</f>
        <v>60</v>
      </c>
      <c r="C16" s="2">
        <v>3500</v>
      </c>
      <c r="D16" s="2">
        <v>3500</v>
      </c>
      <c r="E16" s="73">
        <f>C16*B16</f>
        <v>210000</v>
      </c>
      <c r="F16" s="41">
        <f>D16*B16</f>
        <v>210000</v>
      </c>
    </row>
    <row r="17" spans="1:6" x14ac:dyDescent="0.25">
      <c r="A17" s="10" t="s">
        <v>17</v>
      </c>
      <c r="B17" s="1">
        <v>4</v>
      </c>
      <c r="C17" s="2">
        <v>18000</v>
      </c>
      <c r="D17" s="2">
        <v>20000</v>
      </c>
      <c r="E17" s="73">
        <f t="shared" ref="E17:E21" si="2">C17*B17</f>
        <v>72000</v>
      </c>
      <c r="F17" s="41">
        <f t="shared" ref="F17:F21" si="3">D17*B17</f>
        <v>80000</v>
      </c>
    </row>
    <row r="18" spans="1:6" x14ac:dyDescent="0.25">
      <c r="A18" s="10" t="s">
        <v>18</v>
      </c>
      <c r="B18" s="1">
        <v>2</v>
      </c>
      <c r="C18" s="2">
        <v>3000</v>
      </c>
      <c r="D18" s="2">
        <v>3000</v>
      </c>
      <c r="E18" s="73">
        <f t="shared" si="2"/>
        <v>6000</v>
      </c>
      <c r="F18" s="41">
        <f t="shared" si="3"/>
        <v>6000</v>
      </c>
    </row>
    <row r="19" spans="1:6" x14ac:dyDescent="0.25">
      <c r="A19" s="10" t="s">
        <v>19</v>
      </c>
      <c r="B19" s="1">
        <v>1</v>
      </c>
      <c r="C19" s="2">
        <f>50000+18000</f>
        <v>68000</v>
      </c>
      <c r="D19" s="2">
        <f>50000+20000</f>
        <v>70000</v>
      </c>
      <c r="E19" s="73">
        <f t="shared" si="2"/>
        <v>68000</v>
      </c>
      <c r="F19" s="41">
        <f t="shared" si="3"/>
        <v>70000</v>
      </c>
    </row>
    <row r="20" spans="1:6" x14ac:dyDescent="0.25">
      <c r="A20" s="10" t="s">
        <v>20</v>
      </c>
      <c r="B20" s="1">
        <v>1</v>
      </c>
      <c r="C20" s="2">
        <f>30000+18000</f>
        <v>48000</v>
      </c>
      <c r="D20" s="2">
        <f>38000+20000</f>
        <v>58000</v>
      </c>
      <c r="E20" s="73">
        <f t="shared" si="2"/>
        <v>48000</v>
      </c>
      <c r="F20" s="41">
        <f t="shared" si="3"/>
        <v>58000</v>
      </c>
    </row>
    <row r="21" spans="1:6" x14ac:dyDescent="0.25">
      <c r="A21" s="10" t="s">
        <v>21</v>
      </c>
      <c r="B21" s="1">
        <v>1</v>
      </c>
      <c r="C21" s="2">
        <v>3000</v>
      </c>
      <c r="D21" s="2">
        <v>3000</v>
      </c>
      <c r="E21" s="73">
        <f t="shared" si="2"/>
        <v>3000</v>
      </c>
      <c r="F21" s="41">
        <f t="shared" si="3"/>
        <v>3000</v>
      </c>
    </row>
    <row r="22" spans="1:6" x14ac:dyDescent="0.25">
      <c r="A22" s="10" t="s">
        <v>23</v>
      </c>
      <c r="B22" s="1" t="s">
        <v>22</v>
      </c>
      <c r="C22" s="2">
        <v>20000</v>
      </c>
      <c r="D22" s="2">
        <v>20000</v>
      </c>
      <c r="E22" s="73">
        <v>20000</v>
      </c>
      <c r="F22" s="41">
        <v>20000</v>
      </c>
    </row>
    <row r="23" spans="1:6" ht="16.5" thickBot="1" x14ac:dyDescent="0.3">
      <c r="A23" s="11" t="s">
        <v>13</v>
      </c>
      <c r="B23" s="15"/>
      <c r="C23" s="16"/>
      <c r="D23" s="16"/>
      <c r="E23" s="76">
        <f>SUM(E16:E22)</f>
        <v>427000</v>
      </c>
      <c r="F23" s="12">
        <f>SUM(F16:F22)</f>
        <v>447000</v>
      </c>
    </row>
    <row r="24" spans="1:6" ht="15.75" thickTop="1" x14ac:dyDescent="0.25">
      <c r="A24" s="19" t="s">
        <v>31</v>
      </c>
      <c r="B24" s="20"/>
      <c r="C24" s="21"/>
      <c r="D24" s="21"/>
      <c r="E24" s="21"/>
      <c r="F24" s="21"/>
    </row>
    <row r="25" spans="1:6" x14ac:dyDescent="0.25">
      <c r="A25" s="10" t="s">
        <v>24</v>
      </c>
      <c r="B25" s="1">
        <v>1</v>
      </c>
      <c r="C25" s="2">
        <v>83000</v>
      </c>
      <c r="D25" s="2">
        <v>83000</v>
      </c>
      <c r="E25" s="77">
        <v>83000</v>
      </c>
      <c r="F25" s="2">
        <v>83000</v>
      </c>
    </row>
    <row r="26" spans="1:6" ht="30" x14ac:dyDescent="0.25">
      <c r="A26" s="10" t="s">
        <v>27</v>
      </c>
      <c r="B26" s="1">
        <v>1</v>
      </c>
      <c r="C26" s="2">
        <f>49000+18000</f>
        <v>67000</v>
      </c>
      <c r="D26" s="2">
        <f>55000+20000</f>
        <v>75000</v>
      </c>
      <c r="E26" s="73">
        <f>C26*B26</f>
        <v>67000</v>
      </c>
      <c r="F26" s="2">
        <f>D26*B26</f>
        <v>75000</v>
      </c>
    </row>
    <row r="27" spans="1:6" ht="30" x14ac:dyDescent="0.25">
      <c r="A27" s="10" t="s">
        <v>20</v>
      </c>
      <c r="B27" s="1">
        <v>1</v>
      </c>
      <c r="C27" s="3">
        <f>30000+18000</f>
        <v>48000</v>
      </c>
      <c r="D27" s="3">
        <f>38000+20000</f>
        <v>58000</v>
      </c>
      <c r="E27" s="73">
        <f t="shared" ref="E27:E29" si="4">C27*B27</f>
        <v>48000</v>
      </c>
      <c r="F27" s="3">
        <f t="shared" ref="F27:F29" si="5">D27*B27</f>
        <v>58000</v>
      </c>
    </row>
    <row r="28" spans="1:6" x14ac:dyDescent="0.25">
      <c r="A28" s="10" t="s">
        <v>26</v>
      </c>
      <c r="B28" s="1">
        <v>1</v>
      </c>
      <c r="C28" s="2">
        <v>24500</v>
      </c>
      <c r="D28" s="2">
        <v>27000</v>
      </c>
      <c r="E28" s="73">
        <f t="shared" si="4"/>
        <v>24500</v>
      </c>
      <c r="F28" s="3">
        <f t="shared" si="5"/>
        <v>27000</v>
      </c>
    </row>
    <row r="29" spans="1:6" x14ac:dyDescent="0.25">
      <c r="A29" s="10" t="s">
        <v>25</v>
      </c>
      <c r="B29" s="1">
        <v>1</v>
      </c>
      <c r="C29" s="2">
        <v>15000</v>
      </c>
      <c r="D29" s="2">
        <v>15000</v>
      </c>
      <c r="E29" s="73">
        <f t="shared" si="4"/>
        <v>15000</v>
      </c>
      <c r="F29" s="3">
        <f t="shared" si="5"/>
        <v>15000</v>
      </c>
    </row>
    <row r="30" spans="1:6" x14ac:dyDescent="0.25">
      <c r="A30" s="10" t="s">
        <v>23</v>
      </c>
      <c r="B30" s="1" t="s">
        <v>22</v>
      </c>
      <c r="C30" s="2">
        <v>20000</v>
      </c>
      <c r="D30" s="2">
        <v>20000</v>
      </c>
      <c r="E30" s="73">
        <v>20000</v>
      </c>
      <c r="F30" s="2">
        <v>20000</v>
      </c>
    </row>
    <row r="31" spans="1:6" ht="16.5" thickBot="1" x14ac:dyDescent="0.3">
      <c r="A31" s="11" t="s">
        <v>14</v>
      </c>
      <c r="B31" s="15"/>
      <c r="C31" s="16"/>
      <c r="D31" s="16"/>
      <c r="E31" s="76">
        <f>SUM(E25:E30)</f>
        <v>257500</v>
      </c>
      <c r="F31" s="12">
        <f>SUM(F25:F30)</f>
        <v>278000</v>
      </c>
    </row>
    <row r="32" spans="1:6" ht="15.75" thickTop="1" x14ac:dyDescent="0.25">
      <c r="A32" s="10" t="s">
        <v>28</v>
      </c>
      <c r="B32" s="1" t="s">
        <v>22</v>
      </c>
      <c r="C32" s="2">
        <f>8431.58*12</f>
        <v>101178.95999999999</v>
      </c>
      <c r="D32" s="71">
        <f>8431.58*12</f>
        <v>101178.95999999999</v>
      </c>
      <c r="E32" s="71">
        <f>8431.58*12</f>
        <v>101178.95999999999</v>
      </c>
      <c r="F32" s="71">
        <f>8431.58*12</f>
        <v>101178.95999999999</v>
      </c>
    </row>
    <row r="33" spans="1:6" ht="30" x14ac:dyDescent="0.25">
      <c r="A33" s="10" t="s">
        <v>29</v>
      </c>
      <c r="B33" s="1" t="s">
        <v>22</v>
      </c>
      <c r="C33" s="2">
        <v>185000</v>
      </c>
      <c r="D33" s="2">
        <v>185000</v>
      </c>
      <c r="E33" s="73">
        <v>185000</v>
      </c>
      <c r="F33" s="2">
        <v>185000</v>
      </c>
    </row>
    <row r="34" spans="1:6" ht="19.5" thickBot="1" x14ac:dyDescent="0.35">
      <c r="A34" s="8" t="s">
        <v>30</v>
      </c>
      <c r="B34" s="13"/>
      <c r="C34" s="14"/>
      <c r="D34" s="14"/>
      <c r="E34" s="74">
        <f>E33+E32+E23+E31</f>
        <v>970678.96</v>
      </c>
      <c r="F34" s="9">
        <f>F33+F32+F23+F31</f>
        <v>1011178.96</v>
      </c>
    </row>
    <row r="35" spans="1:6" ht="15.75" thickTop="1" x14ac:dyDescent="0.25"/>
    <row r="36" spans="1:6" x14ac:dyDescent="0.25">
      <c r="E36" s="44"/>
      <c r="F36" s="44"/>
    </row>
    <row r="37" spans="1:6" x14ac:dyDescent="0.25">
      <c r="F37" s="43"/>
    </row>
  </sheetData>
  <mergeCells count="4">
    <mergeCell ref="C2:D2"/>
    <mergeCell ref="E2:F2"/>
    <mergeCell ref="C13:D13"/>
    <mergeCell ref="E13:F13"/>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19" sqref="C19"/>
    </sheetView>
  </sheetViews>
  <sheetFormatPr defaultRowHeight="15" x14ac:dyDescent="0.25"/>
  <cols>
    <col min="1" max="1" width="71.7109375" customWidth="1"/>
    <col min="2" max="3" width="12.7109375" style="3" customWidth="1"/>
    <col min="4" max="5" width="12.5703125" style="1" bestFit="1" customWidth="1"/>
  </cols>
  <sheetData>
    <row r="1" spans="1:5" ht="31.5" x14ac:dyDescent="0.5">
      <c r="A1" s="27" t="s">
        <v>32</v>
      </c>
    </row>
    <row r="2" spans="1:5" x14ac:dyDescent="0.25">
      <c r="A2" s="33"/>
      <c r="B2" s="80" t="s">
        <v>34</v>
      </c>
      <c r="C2" s="80"/>
      <c r="D2" s="81" t="s">
        <v>35</v>
      </c>
      <c r="E2" s="82"/>
    </row>
    <row r="3" spans="1:5" x14ac:dyDescent="0.25">
      <c r="A3" s="34" t="s">
        <v>15</v>
      </c>
      <c r="B3" s="6" t="s">
        <v>3</v>
      </c>
      <c r="C3" s="6" t="s">
        <v>4</v>
      </c>
      <c r="D3" s="29" t="s">
        <v>3</v>
      </c>
      <c r="E3" s="31" t="s">
        <v>4</v>
      </c>
    </row>
    <row r="4" spans="1:5" ht="19.5" thickBot="1" x14ac:dyDescent="0.35">
      <c r="A4" s="35" t="s">
        <v>33</v>
      </c>
      <c r="B4" s="9">
        <f>Budget!E8-Budget!E34</f>
        <v>54321.040000000037</v>
      </c>
      <c r="C4" s="9">
        <f>Budget!E8-Budget!F34</f>
        <v>13821.040000000037</v>
      </c>
      <c r="D4" s="30">
        <f>Budget!F8-Budget!E34</f>
        <v>99321.040000000037</v>
      </c>
      <c r="E4" s="32">
        <f>Budget!F8-Budget!F34</f>
        <v>58821.040000000037</v>
      </c>
    </row>
    <row r="5" spans="1:5" ht="15.75" thickTop="1" x14ac:dyDescent="0.25"/>
    <row r="7" spans="1:5" ht="18.75" x14ac:dyDescent="0.3">
      <c r="A7" s="28" t="s">
        <v>40</v>
      </c>
      <c r="B7" s="6" t="s">
        <v>3</v>
      </c>
      <c r="C7" s="6" t="s">
        <v>4</v>
      </c>
    </row>
    <row r="8" spans="1:5" x14ac:dyDescent="0.25">
      <c r="A8" t="s">
        <v>39</v>
      </c>
      <c r="B8" s="3">
        <f>Budget!E8/Budget!B4</f>
        <v>8200</v>
      </c>
      <c r="C8" s="3">
        <f>Budget!F8/Budget!B4</f>
        <v>8560</v>
      </c>
    </row>
    <row r="9" spans="1:5" x14ac:dyDescent="0.25">
      <c r="A9" t="s">
        <v>36</v>
      </c>
      <c r="B9" s="3">
        <f>Budget!C7+Budget!C6</f>
        <v>7500</v>
      </c>
      <c r="C9" s="3">
        <f>Budget!D7+Budget!D6</f>
        <v>8000</v>
      </c>
    </row>
    <row r="10" spans="1:5" x14ac:dyDescent="0.25">
      <c r="A10" t="s">
        <v>37</v>
      </c>
      <c r="B10" s="3">
        <v>10000</v>
      </c>
      <c r="C10" s="3">
        <v>10000</v>
      </c>
    </row>
    <row r="11" spans="1:5" x14ac:dyDescent="0.25">
      <c r="A11" s="39" t="s">
        <v>38</v>
      </c>
      <c r="B11" s="40">
        <f>Budget!E34/125</f>
        <v>7765.4316799999997</v>
      </c>
      <c r="C11" s="40">
        <f>Budget!F34/125</f>
        <v>8089.4316799999997</v>
      </c>
    </row>
    <row r="12" spans="1:5" x14ac:dyDescent="0.25">
      <c r="A12" s="38"/>
    </row>
    <row r="15" spans="1:5" ht="18.75" x14ac:dyDescent="0.3">
      <c r="A15" s="28" t="s">
        <v>41</v>
      </c>
      <c r="B15" s="6"/>
    </row>
    <row r="16" spans="1:5" x14ac:dyDescent="0.25">
      <c r="A16" s="42" t="s">
        <v>44</v>
      </c>
      <c r="B16" s="41">
        <f>C4/125</f>
        <v>110.5683200000003</v>
      </c>
      <c r="C16" s="26"/>
    </row>
    <row r="17" spans="1:2" x14ac:dyDescent="0.25">
      <c r="A17" t="s">
        <v>42</v>
      </c>
      <c r="B17" s="3">
        <f>C4</f>
        <v>13821.040000000037</v>
      </c>
    </row>
    <row r="18" spans="1:2" ht="15.75" thickBot="1" x14ac:dyDescent="0.3">
      <c r="A18" s="36" t="s">
        <v>43</v>
      </c>
      <c r="B18" s="37">
        <f>Budget!E33*-1</f>
        <v>-185000</v>
      </c>
    </row>
    <row r="19" spans="1:2" ht="15.75" thickTop="1" x14ac:dyDescent="0.25">
      <c r="A19" t="s">
        <v>45</v>
      </c>
    </row>
  </sheetData>
  <mergeCells count="2">
    <mergeCell ref="B2:C2"/>
    <mergeCell ref="D2:E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abSelected="1" topLeftCell="A52" workbookViewId="0">
      <selection activeCell="E46" sqref="E46"/>
    </sheetView>
  </sheetViews>
  <sheetFormatPr defaultRowHeight="15" x14ac:dyDescent="0.25"/>
  <cols>
    <col min="1" max="1" width="60.7109375" customWidth="1"/>
    <col min="2" max="2" width="19" customWidth="1"/>
    <col min="3" max="3" width="18" customWidth="1"/>
    <col min="4" max="4" width="12.85546875" customWidth="1"/>
    <col min="5" max="5" width="12.5703125" customWidth="1"/>
  </cols>
  <sheetData>
    <row r="1" spans="1:5" ht="31.5" x14ac:dyDescent="0.5">
      <c r="A1" s="48" t="s">
        <v>51</v>
      </c>
      <c r="B1" s="6"/>
      <c r="C1" s="6"/>
      <c r="D1" s="5"/>
      <c r="E1" s="5"/>
    </row>
    <row r="2" spans="1:5" x14ac:dyDescent="0.25">
      <c r="B2" s="43"/>
      <c r="C2" s="43"/>
      <c r="D2" s="1"/>
      <c r="E2" s="1"/>
    </row>
    <row r="3" spans="1:5" ht="18.75" x14ac:dyDescent="0.3">
      <c r="A3" s="28" t="s">
        <v>60</v>
      </c>
      <c r="B3" s="50"/>
      <c r="C3" s="50"/>
      <c r="D3" s="51"/>
      <c r="E3" s="51"/>
    </row>
    <row r="4" spans="1:5" ht="15" customHeight="1" x14ac:dyDescent="0.25">
      <c r="A4" s="83" t="s">
        <v>77</v>
      </c>
      <c r="B4" s="83"/>
      <c r="C4" s="83"/>
      <c r="D4" s="83"/>
      <c r="E4" s="83"/>
    </row>
    <row r="5" spans="1:5" x14ac:dyDescent="0.25">
      <c r="A5" s="83"/>
      <c r="B5" s="83"/>
      <c r="C5" s="83"/>
      <c r="D5" s="83"/>
      <c r="E5" s="83"/>
    </row>
    <row r="6" spans="1:5" x14ac:dyDescent="0.25">
      <c r="A6" s="83"/>
      <c r="B6" s="83"/>
      <c r="C6" s="83"/>
      <c r="D6" s="83"/>
      <c r="E6" s="83"/>
    </row>
    <row r="7" spans="1:5" x14ac:dyDescent="0.25">
      <c r="B7" s="43"/>
      <c r="C7" s="43"/>
      <c r="D7" s="1"/>
      <c r="E7" s="1"/>
    </row>
    <row r="8" spans="1:5" x14ac:dyDescent="0.25">
      <c r="A8" t="s">
        <v>57</v>
      </c>
      <c r="B8" s="43">
        <v>2000000</v>
      </c>
      <c r="C8" s="43"/>
      <c r="D8" s="1"/>
      <c r="E8" s="1"/>
    </row>
    <row r="9" spans="1:5" x14ac:dyDescent="0.25">
      <c r="A9" s="4" t="s">
        <v>58</v>
      </c>
      <c r="B9" s="49">
        <v>0.04</v>
      </c>
      <c r="C9" s="43"/>
      <c r="D9" s="1"/>
      <c r="E9" s="1"/>
    </row>
    <row r="10" spans="1:5" x14ac:dyDescent="0.25">
      <c r="A10" t="s">
        <v>59</v>
      </c>
      <c r="B10" s="43">
        <f>B8*B9</f>
        <v>80000</v>
      </c>
      <c r="C10" s="43"/>
      <c r="D10" s="1"/>
      <c r="E10" s="1"/>
    </row>
    <row r="11" spans="1:5" x14ac:dyDescent="0.25">
      <c r="B11" s="43"/>
      <c r="C11" s="43"/>
      <c r="D11" s="1"/>
      <c r="E11" s="1"/>
    </row>
    <row r="12" spans="1:5" x14ac:dyDescent="0.25">
      <c r="B12" s="43"/>
      <c r="C12" s="43"/>
      <c r="D12" s="1"/>
      <c r="E12" s="1"/>
    </row>
    <row r="13" spans="1:5" x14ac:dyDescent="0.25">
      <c r="A13" s="84" t="s">
        <v>61</v>
      </c>
      <c r="B13" s="84"/>
      <c r="C13" s="84"/>
      <c r="D13" s="84"/>
      <c r="E13" s="84"/>
    </row>
    <row r="14" spans="1:5" x14ac:dyDescent="0.25">
      <c r="A14" s="84"/>
      <c r="B14" s="84"/>
      <c r="C14" s="84"/>
      <c r="D14" s="84"/>
      <c r="E14" s="84"/>
    </row>
    <row r="15" spans="1:5" x14ac:dyDescent="0.25">
      <c r="B15" s="43"/>
      <c r="C15" s="43"/>
      <c r="D15" s="1"/>
      <c r="E15" s="1"/>
    </row>
    <row r="16" spans="1:5" x14ac:dyDescent="0.25">
      <c r="B16" s="43"/>
      <c r="C16" s="43"/>
      <c r="D16" s="1"/>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34" spans="1:5" ht="18.75" x14ac:dyDescent="0.3">
      <c r="A34" s="28" t="s">
        <v>62</v>
      </c>
      <c r="B34" s="50"/>
      <c r="C34" s="50"/>
      <c r="D34" s="51"/>
      <c r="E34" s="51"/>
    </row>
    <row r="35" spans="1:5" x14ac:dyDescent="0.25">
      <c r="A35" s="83" t="s">
        <v>78</v>
      </c>
      <c r="B35" s="83"/>
      <c r="C35" s="83"/>
      <c r="D35" s="83"/>
      <c r="E35" s="83"/>
    </row>
    <row r="36" spans="1:5" x14ac:dyDescent="0.25">
      <c r="A36" s="83"/>
      <c r="B36" s="83"/>
      <c r="C36" s="83"/>
      <c r="D36" s="83"/>
      <c r="E36" s="83"/>
    </row>
    <row r="37" spans="1:5" x14ac:dyDescent="0.25">
      <c r="A37" s="83"/>
      <c r="B37" s="83"/>
      <c r="C37" s="83"/>
      <c r="D37" s="83"/>
      <c r="E37" s="83"/>
    </row>
    <row r="38" spans="1:5" x14ac:dyDescent="0.25">
      <c r="E38" s="1"/>
    </row>
    <row r="39" spans="1:5" x14ac:dyDescent="0.25">
      <c r="A39" s="4"/>
      <c r="B39" s="6" t="s">
        <v>52</v>
      </c>
      <c r="C39" s="6" t="s">
        <v>53</v>
      </c>
      <c r="D39" s="1"/>
    </row>
    <row r="40" spans="1:5" x14ac:dyDescent="0.25">
      <c r="A40" t="s">
        <v>46</v>
      </c>
      <c r="B40" s="44">
        <v>24650000</v>
      </c>
      <c r="C40" s="44">
        <v>25500000</v>
      </c>
      <c r="D40" s="1"/>
    </row>
    <row r="41" spans="1:5" x14ac:dyDescent="0.25">
      <c r="A41" s="4" t="s">
        <v>47</v>
      </c>
      <c r="B41" s="6">
        <f>Budget!E34</f>
        <v>970678.96</v>
      </c>
      <c r="C41" s="6">
        <f>Budget!F34</f>
        <v>1011178.96</v>
      </c>
      <c r="D41" s="1"/>
    </row>
    <row r="42" spans="1:5" x14ac:dyDescent="0.25">
      <c r="A42" t="s">
        <v>48</v>
      </c>
      <c r="B42" s="43">
        <f>B40-B41</f>
        <v>23679321.039999999</v>
      </c>
      <c r="C42" s="43">
        <f>C40-C41</f>
        <v>24488821.039999999</v>
      </c>
      <c r="D42" s="1"/>
    </row>
    <row r="43" spans="1:5" x14ac:dyDescent="0.25">
      <c r="A43" t="s">
        <v>49</v>
      </c>
      <c r="B43" s="45">
        <v>4250</v>
      </c>
      <c r="C43" s="45">
        <v>4250</v>
      </c>
      <c r="D43" s="1"/>
    </row>
    <row r="44" spans="1:5" ht="15.75" thickBot="1" x14ac:dyDescent="0.3">
      <c r="A44" s="46" t="s">
        <v>63</v>
      </c>
      <c r="B44" s="9">
        <f>B42/4250</f>
        <v>5571.6049505882347</v>
      </c>
      <c r="C44" s="9">
        <f>C42/4250</f>
        <v>5762.0755388235293</v>
      </c>
      <c r="D44" s="1"/>
    </row>
    <row r="45" spans="1:5" ht="15.75" thickTop="1" x14ac:dyDescent="0.25">
      <c r="B45" s="43"/>
      <c r="C45" s="43"/>
      <c r="D45" s="1"/>
    </row>
    <row r="47" spans="1:5" x14ac:dyDescent="0.25">
      <c r="B47" s="1" t="s">
        <v>52</v>
      </c>
      <c r="C47" s="1" t="s">
        <v>53</v>
      </c>
    </row>
    <row r="48" spans="1:5" x14ac:dyDescent="0.25">
      <c r="A48" s="39" t="s">
        <v>55</v>
      </c>
      <c r="B48" s="40">
        <f>B44</f>
        <v>5571.6049505882347</v>
      </c>
      <c r="C48" s="40">
        <f>C44</f>
        <v>5762.0755388235293</v>
      </c>
    </row>
    <row r="49" spans="1:3" x14ac:dyDescent="0.25">
      <c r="A49" s="4" t="s">
        <v>56</v>
      </c>
      <c r="B49" s="6">
        <f>'Profit-Loss'!B11</f>
        <v>7765.4316799999997</v>
      </c>
      <c r="C49" s="6">
        <f>'Profit-Loss'!C11</f>
        <v>8089.4316799999997</v>
      </c>
    </row>
    <row r="51" spans="1:3" ht="15.75" x14ac:dyDescent="0.25">
      <c r="A51" s="52" t="s">
        <v>64</v>
      </c>
    </row>
    <row r="68" spans="1:3" ht="15.75" x14ac:dyDescent="0.25">
      <c r="A68" s="52" t="s">
        <v>65</v>
      </c>
    </row>
    <row r="70" spans="1:3" x14ac:dyDescent="0.25">
      <c r="A70" s="4"/>
      <c r="B70" s="6" t="s">
        <v>52</v>
      </c>
      <c r="C70" s="6" t="s">
        <v>53</v>
      </c>
    </row>
    <row r="71" spans="1:3" x14ac:dyDescent="0.25">
      <c r="A71" t="s">
        <v>66</v>
      </c>
      <c r="B71">
        <v>125</v>
      </c>
      <c r="C71">
        <v>125</v>
      </c>
    </row>
    <row r="72" spans="1:3" x14ac:dyDescent="0.25">
      <c r="A72" s="4" t="s">
        <v>67</v>
      </c>
      <c r="B72" s="53">
        <f>B44</f>
        <v>5571.6049505882347</v>
      </c>
      <c r="C72" s="53">
        <f>C44</f>
        <v>5762.0755388235293</v>
      </c>
    </row>
    <row r="73" spans="1:3" x14ac:dyDescent="0.25">
      <c r="A73" t="s">
        <v>75</v>
      </c>
      <c r="B73" s="54">
        <f>B72*B71</f>
        <v>696450.61882352934</v>
      </c>
      <c r="C73" s="54">
        <f>C72*C71</f>
        <v>720259.44235294114</v>
      </c>
    </row>
    <row r="74" spans="1:3" x14ac:dyDescent="0.25">
      <c r="A74" s="4" t="s">
        <v>73</v>
      </c>
      <c r="B74" s="53">
        <f>B73*0.1</f>
        <v>69645.061882352937</v>
      </c>
      <c r="C74" s="53">
        <f>C73*0.1</f>
        <v>72025.944235294111</v>
      </c>
    </row>
    <row r="75" spans="1:3" x14ac:dyDescent="0.25">
      <c r="A75" s="60" t="s">
        <v>74</v>
      </c>
      <c r="B75" s="61">
        <f>B73-B74</f>
        <v>626805.55694117642</v>
      </c>
      <c r="C75" s="61">
        <f>C73-C74</f>
        <v>648233.49811764702</v>
      </c>
    </row>
    <row r="76" spans="1:3" x14ac:dyDescent="0.25">
      <c r="A76" s="4" t="s">
        <v>68</v>
      </c>
      <c r="B76" s="55">
        <f>B41</f>
        <v>970678.96</v>
      </c>
      <c r="C76" s="55">
        <f>C41</f>
        <v>1011178.96</v>
      </c>
    </row>
    <row r="77" spans="1:3" ht="15.75" thickBot="1" x14ac:dyDescent="0.3">
      <c r="A77" s="57" t="s">
        <v>69</v>
      </c>
      <c r="B77" s="56">
        <f>B76-B74-B73</f>
        <v>204583.2792941177</v>
      </c>
      <c r="C77" s="56">
        <f>C76-C74-C73</f>
        <v>218893.57341176469</v>
      </c>
    </row>
    <row r="78" spans="1:3" ht="15.75" thickTop="1" x14ac:dyDescent="0.25"/>
    <row r="79" spans="1:3" ht="15.75" x14ac:dyDescent="0.25">
      <c r="A79" s="52" t="s">
        <v>76</v>
      </c>
    </row>
    <row r="89" spans="1:4" x14ac:dyDescent="0.25">
      <c r="A89" t="s">
        <v>79</v>
      </c>
    </row>
    <row r="91" spans="1:4" x14ac:dyDescent="0.25">
      <c r="A91" s="4"/>
      <c r="B91" s="6" t="s">
        <v>52</v>
      </c>
      <c r="C91" s="6" t="s">
        <v>53</v>
      </c>
    </row>
    <row r="92" spans="1:4" x14ac:dyDescent="0.25">
      <c r="A92" t="s">
        <v>50</v>
      </c>
      <c r="B92" s="43">
        <v>985500</v>
      </c>
      <c r="C92" s="43">
        <v>1018000</v>
      </c>
      <c r="D92" s="1"/>
    </row>
    <row r="93" spans="1:4" x14ac:dyDescent="0.25">
      <c r="A93" s="4" t="s">
        <v>67</v>
      </c>
      <c r="B93" s="6">
        <f>B72</f>
        <v>5571.6049505882347</v>
      </c>
      <c r="C93" s="6">
        <f>C72</f>
        <v>5762.0755388235293</v>
      </c>
      <c r="D93" s="1"/>
    </row>
    <row r="94" spans="1:4" x14ac:dyDescent="0.25">
      <c r="A94" t="s">
        <v>70</v>
      </c>
      <c r="B94" s="45">
        <f>B41/B44</f>
        <v>174.21891333080217</v>
      </c>
      <c r="C94" s="45">
        <f>C41/C44</f>
        <v>175.48866778765924</v>
      </c>
      <c r="D94" s="1"/>
    </row>
    <row r="95" spans="1:4" x14ac:dyDescent="0.25">
      <c r="A95" s="4" t="s">
        <v>54</v>
      </c>
      <c r="B95" s="47">
        <v>125</v>
      </c>
      <c r="C95" s="47">
        <v>125</v>
      </c>
      <c r="D95" s="1"/>
    </row>
    <row r="96" spans="1:4" ht="15.75" thickBot="1" x14ac:dyDescent="0.3">
      <c r="A96" s="58" t="s">
        <v>71</v>
      </c>
      <c r="B96" s="59">
        <f>B94-B95</f>
        <v>49.218913330802167</v>
      </c>
      <c r="C96" s="59">
        <f>C94-C95</f>
        <v>50.488667787659239</v>
      </c>
      <c r="D96" s="1"/>
    </row>
    <row r="97" spans="1:1" ht="15.75" thickTop="1" x14ac:dyDescent="0.25"/>
    <row r="98" spans="1:1" ht="15.75" x14ac:dyDescent="0.25">
      <c r="A98" s="52" t="s">
        <v>72</v>
      </c>
    </row>
  </sheetData>
  <mergeCells count="3">
    <mergeCell ref="A4:E6"/>
    <mergeCell ref="A13:E14"/>
    <mergeCell ref="A35:E37"/>
  </mergeCells>
  <pageMargins left="0.7" right="0.7" top="0.75" bottom="0.75" header="0.3" footer="0.3"/>
  <pageSetup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9" workbookViewId="0">
      <selection activeCell="C39" sqref="C39"/>
    </sheetView>
  </sheetViews>
  <sheetFormatPr defaultRowHeight="15" x14ac:dyDescent="0.25"/>
  <cols>
    <col min="1" max="1" width="72.85546875" customWidth="1"/>
    <col min="2" max="2" width="16.7109375" style="1" customWidth="1"/>
    <col min="3" max="4" width="15.140625" style="62" customWidth="1"/>
    <col min="5" max="5" width="15.85546875" style="62" customWidth="1"/>
    <col min="6" max="6" width="16.140625" style="62" customWidth="1"/>
  </cols>
  <sheetData>
    <row r="1" spans="1:6" ht="31.5" x14ac:dyDescent="0.5">
      <c r="A1" s="24" t="s">
        <v>1</v>
      </c>
      <c r="B1" s="7"/>
      <c r="C1" s="6"/>
      <c r="D1" s="6"/>
      <c r="E1" s="6"/>
      <c r="F1" s="6"/>
    </row>
    <row r="2" spans="1:6" x14ac:dyDescent="0.25">
      <c r="C2" s="78" t="s">
        <v>5</v>
      </c>
      <c r="D2" s="78"/>
      <c r="E2" s="78" t="s">
        <v>6</v>
      </c>
      <c r="F2" s="78"/>
    </row>
    <row r="3" spans="1:6" x14ac:dyDescent="0.25">
      <c r="A3" s="4" t="s">
        <v>2</v>
      </c>
      <c r="B3" s="5" t="s">
        <v>7</v>
      </c>
      <c r="C3" s="6" t="s">
        <v>3</v>
      </c>
      <c r="D3" s="6" t="s">
        <v>4</v>
      </c>
      <c r="E3" s="6" t="s">
        <v>3</v>
      </c>
      <c r="F3" s="6" t="s">
        <v>4</v>
      </c>
    </row>
    <row r="4" spans="1:6" x14ac:dyDescent="0.25">
      <c r="A4" t="s">
        <v>8</v>
      </c>
      <c r="B4" s="45">
        <v>4250</v>
      </c>
    </row>
    <row r="5" spans="1:6" x14ac:dyDescent="0.25">
      <c r="A5" t="s">
        <v>9</v>
      </c>
      <c r="B5" s="1">
        <v>180</v>
      </c>
      <c r="C5" s="62">
        <v>10000</v>
      </c>
      <c r="D5" s="62">
        <v>10000</v>
      </c>
      <c r="E5" s="62">
        <f>C5*B5</f>
        <v>1800000</v>
      </c>
      <c r="F5" s="62">
        <f>D5*B5</f>
        <v>1800000</v>
      </c>
    </row>
    <row r="6" spans="1:6" x14ac:dyDescent="0.25">
      <c r="A6" t="s">
        <v>10</v>
      </c>
      <c r="B6" s="1">
        <f>B4-B5</f>
        <v>4070</v>
      </c>
      <c r="C6" s="62">
        <v>4000</v>
      </c>
      <c r="D6" s="62">
        <v>4000</v>
      </c>
      <c r="E6" s="62">
        <f t="shared" ref="E6:E7" si="0">C6*B6</f>
        <v>16280000</v>
      </c>
      <c r="F6" s="62">
        <f t="shared" ref="F6:F7" si="1">D6*B6</f>
        <v>16280000</v>
      </c>
    </row>
    <row r="7" spans="1:6" x14ac:dyDescent="0.25">
      <c r="A7" t="s">
        <v>11</v>
      </c>
      <c r="B7" s="1">
        <f>B6</f>
        <v>4070</v>
      </c>
      <c r="C7" s="62">
        <v>3500</v>
      </c>
      <c r="D7" s="62">
        <v>4000</v>
      </c>
      <c r="E7" s="62">
        <f t="shared" si="0"/>
        <v>14245000</v>
      </c>
      <c r="F7" s="62">
        <f t="shared" si="1"/>
        <v>16280000</v>
      </c>
    </row>
    <row r="8" spans="1:6" ht="19.5" thickBot="1" x14ac:dyDescent="0.35">
      <c r="A8" s="8" t="s">
        <v>83</v>
      </c>
      <c r="B8" s="17"/>
      <c r="C8" s="14"/>
      <c r="D8" s="14"/>
      <c r="E8" s="9">
        <f>SUM(E5:E7)</f>
        <v>32325000</v>
      </c>
      <c r="F8" s="9">
        <f>SUM(F5:F7)</f>
        <v>34360000</v>
      </c>
    </row>
    <row r="9" spans="1:6" ht="15.75" thickTop="1" x14ac:dyDescent="0.25"/>
    <row r="12" spans="1:6" ht="31.5" x14ac:dyDescent="0.5">
      <c r="A12" s="25" t="s">
        <v>15</v>
      </c>
      <c r="B12" s="5"/>
      <c r="C12" s="6"/>
      <c r="D12" s="6"/>
      <c r="E12" s="41"/>
      <c r="F12" s="41"/>
    </row>
    <row r="13" spans="1:6" x14ac:dyDescent="0.25">
      <c r="C13" s="78" t="s">
        <v>5</v>
      </c>
      <c r="D13" s="78"/>
      <c r="E13" s="85"/>
      <c r="F13" s="85"/>
    </row>
    <row r="14" spans="1:6" x14ac:dyDescent="0.25">
      <c r="A14" s="4"/>
      <c r="B14" s="5"/>
      <c r="C14" s="6" t="s">
        <v>3</v>
      </c>
      <c r="D14" s="6" t="s">
        <v>4</v>
      </c>
      <c r="E14" s="65"/>
      <c r="F14" s="65"/>
    </row>
    <row r="15" spans="1:6" x14ac:dyDescent="0.25">
      <c r="A15" s="63" t="s">
        <v>80</v>
      </c>
      <c r="B15" s="64"/>
      <c r="C15" s="44">
        <v>24650000</v>
      </c>
      <c r="D15" s="44">
        <v>25500000</v>
      </c>
      <c r="E15" s="65"/>
      <c r="F15" s="65"/>
    </row>
    <row r="16" spans="1:6" x14ac:dyDescent="0.25">
      <c r="A16" s="63" t="s">
        <v>81</v>
      </c>
      <c r="B16" s="64"/>
      <c r="C16" s="62">
        <f>Budget!E34</f>
        <v>970678.96</v>
      </c>
      <c r="D16" s="62">
        <f>Budget!F34</f>
        <v>1011178.96</v>
      </c>
      <c r="E16" s="65"/>
      <c r="F16" s="65"/>
    </row>
    <row r="17" spans="1:6" ht="19.5" thickBot="1" x14ac:dyDescent="0.35">
      <c r="A17" s="68" t="s">
        <v>82</v>
      </c>
      <c r="B17" s="67"/>
      <c r="C17" s="9">
        <f>C15-C16</f>
        <v>23679321.039999999</v>
      </c>
      <c r="D17" s="9">
        <f>D15-D16</f>
        <v>24488821.039999999</v>
      </c>
      <c r="E17" s="66"/>
      <c r="F17" s="66"/>
    </row>
    <row r="18" spans="1:6" ht="15.75" thickTop="1" x14ac:dyDescent="0.25"/>
    <row r="19" spans="1:6" x14ac:dyDescent="0.25">
      <c r="E19" s="44"/>
      <c r="F19" s="44"/>
    </row>
    <row r="21" spans="1:6" ht="31.5" x14ac:dyDescent="0.5">
      <c r="A21" s="70" t="s">
        <v>32</v>
      </c>
      <c r="B21" s="62"/>
      <c r="D21" s="1"/>
      <c r="E21" s="1"/>
    </row>
    <row r="22" spans="1:6" x14ac:dyDescent="0.25">
      <c r="A22" s="33"/>
      <c r="B22" s="80" t="s">
        <v>34</v>
      </c>
      <c r="C22" s="80"/>
      <c r="D22" s="81" t="s">
        <v>35</v>
      </c>
      <c r="E22" s="82"/>
    </row>
    <row r="23" spans="1:6" x14ac:dyDescent="0.25">
      <c r="A23" s="34" t="s">
        <v>15</v>
      </c>
      <c r="B23" s="6" t="s">
        <v>3</v>
      </c>
      <c r="C23" s="6" t="s">
        <v>4</v>
      </c>
      <c r="D23" s="29" t="s">
        <v>3</v>
      </c>
      <c r="E23" s="31" t="s">
        <v>4</v>
      </c>
    </row>
    <row r="24" spans="1:6" ht="19.5" thickBot="1" x14ac:dyDescent="0.35">
      <c r="A24" s="35" t="s">
        <v>33</v>
      </c>
      <c r="B24" s="9">
        <f>E8-C17</f>
        <v>8645678.9600000009</v>
      </c>
      <c r="C24" s="9">
        <f>E8-D17</f>
        <v>7836178.9600000009</v>
      </c>
      <c r="D24" s="30">
        <f>F8-C17</f>
        <v>10680678.960000001</v>
      </c>
      <c r="E24" s="32">
        <f>F8-D17</f>
        <v>9871178.9600000009</v>
      </c>
    </row>
    <row r="25" spans="1:6" ht="15.75" thickTop="1" x14ac:dyDescent="0.25">
      <c r="B25" s="62"/>
      <c r="D25" s="1"/>
      <c r="E25" s="1"/>
    </row>
    <row r="26" spans="1:6" x14ac:dyDescent="0.25">
      <c r="B26" s="62"/>
      <c r="D26" s="1"/>
      <c r="E26" s="1"/>
    </row>
    <row r="27" spans="1:6" ht="18.75" x14ac:dyDescent="0.3">
      <c r="A27" s="28" t="s">
        <v>40</v>
      </c>
      <c r="B27" s="6" t="s">
        <v>3</v>
      </c>
      <c r="C27" s="6" t="s">
        <v>4</v>
      </c>
      <c r="D27" s="1"/>
      <c r="E27" s="1"/>
    </row>
    <row r="28" spans="1:6" x14ac:dyDescent="0.25">
      <c r="A28" t="s">
        <v>86</v>
      </c>
      <c r="B28" s="62">
        <f>E8/B4</f>
        <v>7605.8823529411766</v>
      </c>
      <c r="C28" s="62">
        <f>F8/B4</f>
        <v>8084.7058823529414</v>
      </c>
      <c r="D28" s="1"/>
      <c r="E28" s="1"/>
    </row>
    <row r="29" spans="1:6" x14ac:dyDescent="0.25">
      <c r="A29" s="39" t="s">
        <v>87</v>
      </c>
      <c r="B29" s="40">
        <f>C17/B4</f>
        <v>5571.6049505882347</v>
      </c>
      <c r="C29" s="40">
        <f>D17/B4</f>
        <v>5762.0755388235293</v>
      </c>
      <c r="D29" s="1"/>
      <c r="E29" s="1"/>
    </row>
    <row r="30" spans="1:6" x14ac:dyDescent="0.25">
      <c r="A30" s="38"/>
      <c r="B30" s="62"/>
      <c r="D30" s="1"/>
      <c r="E30" s="1"/>
    </row>
    <row r="31" spans="1:6" x14ac:dyDescent="0.25">
      <c r="B31" s="62"/>
      <c r="D31" s="1"/>
      <c r="E31" s="1"/>
    </row>
    <row r="32" spans="1:6" ht="18.75" x14ac:dyDescent="0.3">
      <c r="A32" s="28" t="s">
        <v>88</v>
      </c>
      <c r="B32" s="6"/>
      <c r="D32" s="1"/>
      <c r="E32" s="1"/>
    </row>
    <row r="33" spans="1:5" x14ac:dyDescent="0.25">
      <c r="A33" s="63" t="s">
        <v>85</v>
      </c>
      <c r="B33" s="41">
        <f>C24</f>
        <v>7836178.9600000009</v>
      </c>
      <c r="D33" s="1"/>
      <c r="E33" s="1"/>
    </row>
    <row r="34" spans="1:5" ht="15.75" thickBot="1" x14ac:dyDescent="0.3">
      <c r="A34" s="69" t="s">
        <v>84</v>
      </c>
      <c r="B34" s="12">
        <f>B33/B4</f>
        <v>1843.8068141176473</v>
      </c>
      <c r="D34" s="1"/>
      <c r="E34" s="1"/>
    </row>
    <row r="35" spans="1:5" ht="15.75" thickTop="1" x14ac:dyDescent="0.25"/>
    <row r="37" spans="1:5" ht="18.75" x14ac:dyDescent="0.3">
      <c r="A37" s="28" t="s">
        <v>89</v>
      </c>
      <c r="B37" s="6"/>
    </row>
    <row r="38" spans="1:5" x14ac:dyDescent="0.25">
      <c r="A38" t="s">
        <v>90</v>
      </c>
      <c r="B38" s="62">
        <f>'Profit-Loss'!B17</f>
        <v>13821.040000000037</v>
      </c>
    </row>
    <row r="39" spans="1:5" ht="15.75" thickBot="1" x14ac:dyDescent="0.3">
      <c r="A39" s="69" t="s">
        <v>44</v>
      </c>
      <c r="B39" s="12">
        <f>B38/Budget!B4</f>
        <v>110.5683200000003</v>
      </c>
    </row>
    <row r="40" spans="1:5" ht="15.75" thickTop="1" x14ac:dyDescent="0.25"/>
  </sheetData>
  <mergeCells count="6">
    <mergeCell ref="C2:D2"/>
    <mergeCell ref="E2:F2"/>
    <mergeCell ref="C13:D13"/>
    <mergeCell ref="E13:F13"/>
    <mergeCell ref="B22:C22"/>
    <mergeCell ref="D22:E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vt:lpstr>
      <vt:lpstr>Profit-Loss</vt:lpstr>
      <vt:lpstr>Analysis</vt:lpstr>
      <vt:lpstr>Spokane Profit</vt:lpstr>
    </vt:vector>
  </TitlesOfParts>
  <Company>Community Colleges of Spokane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Khaliela.Wright</dc:creator>
  <cp:lastModifiedBy>Khaliela.Wright</cp:lastModifiedBy>
  <cp:lastPrinted>2016-05-12T20:01:15Z</cp:lastPrinted>
  <dcterms:created xsi:type="dcterms:W3CDTF">2016-05-10T00:32:10Z</dcterms:created>
  <dcterms:modified xsi:type="dcterms:W3CDTF">2016-05-19T16:23:42Z</dcterms:modified>
</cp:coreProperties>
</file>